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Prospetto Personale 98" sheetId="1" r:id="rId1"/>
  </sheets>
  <definedNames>
    <definedName name="_xlnm.Print_Area" localSheetId="0">'Prospetto Personale 98'!$U$1:$AK$54</definedName>
  </definedNames>
  <calcPr fullCalcOnLoad="1"/>
</workbook>
</file>

<file path=xl/sharedStrings.xml><?xml version="1.0" encoding="utf-8"?>
<sst xmlns="http://schemas.openxmlformats.org/spreadsheetml/2006/main" count="109" uniqueCount="87">
  <si>
    <t xml:space="preserve">N.RO </t>
  </si>
  <si>
    <t>COGNOME E NOME DIPENDENTE</t>
  </si>
  <si>
    <t>R.</t>
  </si>
  <si>
    <t>FR.</t>
  </si>
  <si>
    <t>Q.F.</t>
  </si>
  <si>
    <t>Stra.Elett.</t>
  </si>
  <si>
    <t>altri comp.</t>
  </si>
  <si>
    <t xml:space="preserve"> TOTALE</t>
  </si>
  <si>
    <t>imp.CPDEL</t>
  </si>
  <si>
    <t>imp.INADEL</t>
  </si>
  <si>
    <t xml:space="preserve">     ctrINADEL</t>
  </si>
  <si>
    <t>ctr INAIL</t>
  </si>
  <si>
    <t xml:space="preserve">     TOT. ctr.</t>
  </si>
  <si>
    <t>ces.stip.</t>
  </si>
  <si>
    <t>rit.sind.</t>
  </si>
  <si>
    <t>più 13^</t>
  </si>
  <si>
    <t>ISTAT</t>
  </si>
  <si>
    <t xml:space="preserve">   Ente</t>
  </si>
  <si>
    <t xml:space="preserve"> Dipenden.</t>
  </si>
  <si>
    <t>R</t>
  </si>
  <si>
    <t>/</t>
  </si>
  <si>
    <t>SERVIZIO 01  03</t>
  </si>
  <si>
    <t>SERVIZIO 01  02</t>
  </si>
  <si>
    <t>SERVIZIO 08  01</t>
  </si>
  <si>
    <t xml:space="preserve">    più 13^</t>
  </si>
  <si>
    <t>_+1% add.</t>
  </si>
  <si>
    <t>RECCHIUTI MICHELA</t>
  </si>
  <si>
    <t>SERVIZIO 01  07</t>
  </si>
  <si>
    <t xml:space="preserve"> </t>
  </si>
  <si>
    <t>Dipenden.</t>
  </si>
  <si>
    <t xml:space="preserve">                    ctr CPDEL</t>
  </si>
  <si>
    <t>IRAP CARICO</t>
  </si>
  <si>
    <t>ENTE</t>
  </si>
  <si>
    <t>ARTUSI VALERIO</t>
  </si>
  <si>
    <t xml:space="preserve">Capo operaio </t>
  </si>
  <si>
    <t>PROGRESS.</t>
  </si>
  <si>
    <t>ECONOMICA</t>
  </si>
  <si>
    <t>Produttività coll.</t>
  </si>
  <si>
    <t>RETRIB.</t>
  </si>
  <si>
    <t xml:space="preserve">Straord. </t>
  </si>
  <si>
    <t>normale</t>
  </si>
  <si>
    <t xml:space="preserve">ASSEGNO </t>
  </si>
  <si>
    <t>AD PERSONAM</t>
  </si>
  <si>
    <t>IND.RISC</t>
  </si>
  <si>
    <t xml:space="preserve">stipendio </t>
  </si>
  <si>
    <t>IND.COMP.</t>
  </si>
  <si>
    <t>PER 12 MENS.</t>
  </si>
  <si>
    <t>RIA</t>
  </si>
  <si>
    <t>POSIZ.</t>
  </si>
  <si>
    <t>RISULTATO</t>
  </si>
  <si>
    <t>SERVIZIO 01  06</t>
  </si>
  <si>
    <t>RITENUTE CO.</t>
  </si>
  <si>
    <t>CO.CO.</t>
  </si>
  <si>
    <t>COCOCO biblioteca</t>
  </si>
  <si>
    <t>SERVIZIO 05  01</t>
  </si>
  <si>
    <t>IND.DIR</t>
  </si>
  <si>
    <t xml:space="preserve">AGGIUNTA </t>
  </si>
  <si>
    <t>FAMILIARE</t>
  </si>
  <si>
    <t>CARICO ENTE</t>
  </si>
  <si>
    <t>DIP.</t>
  </si>
  <si>
    <t>B7</t>
  </si>
  <si>
    <t>D2</t>
  </si>
  <si>
    <t xml:space="preserve">Istruttore Dir. Amministrativo </t>
  </si>
  <si>
    <t>MAGNI BIANCAMARIA</t>
  </si>
  <si>
    <t xml:space="preserve">MAGNI  MARINELLA  </t>
  </si>
  <si>
    <t>Istruttore Direttivo Contabile</t>
  </si>
  <si>
    <t>C1</t>
  </si>
  <si>
    <t xml:space="preserve">IND. VAC. </t>
  </si>
  <si>
    <t>CONTRATT.</t>
  </si>
  <si>
    <t>D6</t>
  </si>
  <si>
    <t>ARTUSI ANNA</t>
  </si>
  <si>
    <t>Collaboratore Amm.vo</t>
  </si>
  <si>
    <t>FR</t>
  </si>
  <si>
    <t>B3</t>
  </si>
  <si>
    <t>VITALI MARCO</t>
  </si>
  <si>
    <t>FONDO CONTRATTAZIONE DECENTRATA INTEGRATIVA</t>
  </si>
  <si>
    <t>TOTALE</t>
  </si>
  <si>
    <t>PROSPETTO RETRIBUZIONI AL PERSONALE 2015</t>
  </si>
  <si>
    <t>SERVIZIO 03  01</t>
  </si>
  <si>
    <t>GRASSO SALVATORE</t>
  </si>
  <si>
    <t>C4</t>
  </si>
  <si>
    <t>Vigile Urbano</t>
  </si>
  <si>
    <t>IND.VIG.</t>
  </si>
  <si>
    <t>BOTTANI ANNALISA E INVERNIZZI MANUELA</t>
  </si>
  <si>
    <t>RITENUTE</t>
  </si>
  <si>
    <t>INAIL</t>
  </si>
  <si>
    <t>CARICO DIP.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</si>
</sst>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L. &quot;#,##0_);[Red]\(&quot;L. &quot;#,##0\)"/>
    <numFmt numFmtId="167" formatCode="&quot;L. &quot;#,##0.00_);[Red]\(&quot;L. &quot;#,##0.00\)"/>
    <numFmt numFmtId="168" formatCode="_-* #,##0.00_-;\-* #,##0.00_-;_-* &quot;-&quot;_-;_-@_-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Courier New"/>
      <family val="3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Courier New"/>
      <family val="3"/>
    </font>
    <font>
      <b/>
      <sz val="20"/>
      <name val="Courier New"/>
      <family val="3"/>
    </font>
    <font>
      <b/>
      <sz val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1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5" fontId="5" fillId="0" borderId="0" xfId="44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1" fontId="5" fillId="0" borderId="11" xfId="0" applyNumberFormat="1" applyFont="1" applyBorder="1" applyAlignment="1">
      <alignment/>
    </xf>
    <xf numFmtId="165" fontId="5" fillId="0" borderId="0" xfId="44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5" fillId="0" borderId="11" xfId="0" applyNumberFormat="1" applyFont="1" applyFill="1" applyBorder="1" applyAlignment="1">
      <alignment/>
    </xf>
    <xf numFmtId="168" fontId="10" fillId="0" borderId="11" xfId="0" applyNumberFormat="1" applyFont="1" applyFill="1" applyBorder="1" applyAlignment="1">
      <alignment/>
    </xf>
    <xf numFmtId="168" fontId="10" fillId="0" borderId="11" xfId="0" applyNumberFormat="1" applyFont="1" applyFill="1" applyBorder="1" applyAlignment="1">
      <alignment/>
    </xf>
    <xf numFmtId="165" fontId="5" fillId="0" borderId="11" xfId="44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8" fontId="5" fillId="0" borderId="13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8" fontId="10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68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168" fontId="6" fillId="0" borderId="2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36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00150"/>
          <a:ext cx="216789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35</xdr:col>
      <xdr:colOff>657225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343150"/>
          <a:ext cx="216693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35</xdr:col>
      <xdr:colOff>657225</xdr:colOff>
      <xdr:row>21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3200400"/>
          <a:ext cx="21669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35</xdr:col>
      <xdr:colOff>657225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4914900"/>
          <a:ext cx="216693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35</xdr:col>
      <xdr:colOff>657225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6772275"/>
          <a:ext cx="216693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36</xdr:col>
      <xdr:colOff>0</xdr:colOff>
      <xdr:row>21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0" y="3057525"/>
          <a:ext cx="216789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4200525"/>
          <a:ext cx="216789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36</xdr:col>
      <xdr:colOff>0</xdr:colOff>
      <xdr:row>29</xdr:row>
      <xdr:rowOff>0</xdr:rowOff>
    </xdr:to>
    <xdr:sp>
      <xdr:nvSpPr>
        <xdr:cNvPr id="8" name="Rectangle 9"/>
        <xdr:cNvSpPr>
          <a:spLocks/>
        </xdr:cNvSpPr>
      </xdr:nvSpPr>
      <xdr:spPr>
        <a:xfrm>
          <a:off x="0" y="4210050"/>
          <a:ext cx="21678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35</xdr:col>
      <xdr:colOff>657225</xdr:colOff>
      <xdr:row>43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0" y="6200775"/>
          <a:ext cx="216693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36</xdr:col>
      <xdr:colOff>0</xdr:colOff>
      <xdr:row>39</xdr:row>
      <xdr:rowOff>0</xdr:rowOff>
    </xdr:to>
    <xdr:sp>
      <xdr:nvSpPr>
        <xdr:cNvPr id="10" name="Rectangle 7"/>
        <xdr:cNvSpPr>
          <a:spLocks/>
        </xdr:cNvSpPr>
      </xdr:nvSpPr>
      <xdr:spPr>
        <a:xfrm>
          <a:off x="0" y="5629275"/>
          <a:ext cx="216789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35</xdr:col>
      <xdr:colOff>0</xdr:colOff>
      <xdr:row>12</xdr:row>
      <xdr:rowOff>9525</xdr:rowOff>
    </xdr:to>
    <xdr:sp>
      <xdr:nvSpPr>
        <xdr:cNvPr id="11" name="Rectangle 6"/>
        <xdr:cNvSpPr>
          <a:spLocks/>
        </xdr:cNvSpPr>
      </xdr:nvSpPr>
      <xdr:spPr>
        <a:xfrm>
          <a:off x="0" y="1914525"/>
          <a:ext cx="21012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zoomScalePageLayoutView="0" workbookViewId="0" topLeftCell="T1">
      <selection activeCell="U1" sqref="U1:AK54"/>
    </sheetView>
  </sheetViews>
  <sheetFormatPr defaultColWidth="10.00390625" defaultRowHeight="12.75"/>
  <cols>
    <col min="1" max="1" width="3.00390625" style="2" customWidth="1"/>
    <col min="2" max="2" width="15.7109375" style="2" customWidth="1"/>
    <col min="3" max="5" width="3.00390625" style="2" customWidth="1"/>
    <col min="6" max="6" width="9.7109375" style="2" customWidth="1"/>
    <col min="7" max="7" width="10.140625" style="2" customWidth="1"/>
    <col min="8" max="8" width="9.28125" style="2" customWidth="1"/>
    <col min="9" max="9" width="8.8515625" style="2" customWidth="1"/>
    <col min="10" max="10" width="8.7109375" style="2" customWidth="1"/>
    <col min="11" max="11" width="11.28125" style="2" customWidth="1"/>
    <col min="12" max="12" width="9.7109375" style="2" customWidth="1"/>
    <col min="13" max="13" width="9.00390625" style="2" customWidth="1"/>
    <col min="14" max="14" width="9.8515625" style="2" customWidth="1"/>
    <col min="15" max="15" width="12.00390625" style="2" bestFit="1" customWidth="1"/>
    <col min="16" max="16" width="9.421875" style="2" customWidth="1"/>
    <col min="17" max="17" width="10.140625" style="2" customWidth="1"/>
    <col min="18" max="19" width="8.7109375" style="2" customWidth="1"/>
    <col min="20" max="21" width="10.140625" style="2" customWidth="1"/>
    <col min="22" max="22" width="9.8515625" style="2" customWidth="1"/>
    <col min="23" max="23" width="9.28125" style="2" customWidth="1"/>
    <col min="24" max="24" width="9.00390625" style="2" customWidth="1"/>
    <col min="25" max="25" width="10.7109375" style="2" customWidth="1"/>
    <col min="26" max="26" width="11.140625" style="2" bestFit="1" customWidth="1"/>
    <col min="27" max="31" width="9.00390625" style="2" customWidth="1"/>
    <col min="32" max="32" width="9.7109375" style="2" customWidth="1"/>
    <col min="33" max="33" width="9.8515625" style="2" customWidth="1"/>
    <col min="34" max="34" width="9.28125" style="2" customWidth="1"/>
    <col min="35" max="35" width="7.7109375" style="2" customWidth="1"/>
    <col min="36" max="36" width="10.00390625" style="2" customWidth="1"/>
    <col min="37" max="37" width="0.9921875" style="2" customWidth="1"/>
    <col min="38" max="38" width="12.00390625" style="2" bestFit="1" customWidth="1"/>
    <col min="39" max="16384" width="10.00390625" style="2" customWidth="1"/>
  </cols>
  <sheetData>
    <row r="1" spans="1:35" ht="27">
      <c r="A1" s="6"/>
      <c r="B1" s="10" t="s">
        <v>77</v>
      </c>
      <c r="C1" s="6"/>
      <c r="D1" s="6"/>
      <c r="E1" s="6"/>
      <c r="F1" s="6"/>
      <c r="G1" s="6"/>
      <c r="H1" s="6"/>
      <c r="I1" s="6"/>
      <c r="J1" s="6"/>
      <c r="K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6" ht="11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5"/>
      <c r="AI2" s="5"/>
      <c r="AJ2" s="4"/>
    </row>
    <row r="3" spans="1:36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"/>
      <c r="Z3" s="8"/>
      <c r="AA3" s="8"/>
      <c r="AB3" s="5"/>
      <c r="AC3" s="5"/>
      <c r="AD3" s="5"/>
      <c r="AE3" s="5"/>
      <c r="AF3" s="8"/>
      <c r="AG3" s="8"/>
      <c r="AH3" s="5"/>
      <c r="AI3" s="5"/>
      <c r="AJ3" s="4"/>
    </row>
    <row r="4" spans="1:36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/>
      <c r="M4" s="5"/>
      <c r="N4" s="5"/>
      <c r="O4" s="5"/>
      <c r="P4" s="5"/>
      <c r="Q4" s="5"/>
      <c r="R4" s="5"/>
      <c r="S4" s="5"/>
      <c r="T4" s="5" t="s">
        <v>28</v>
      </c>
      <c r="U4" s="5"/>
      <c r="V4" s="5"/>
      <c r="W4" s="5"/>
      <c r="X4" s="5"/>
      <c r="Y4" s="7"/>
      <c r="Z4" s="8"/>
      <c r="AA4" s="8"/>
      <c r="AB4" s="5"/>
      <c r="AC4" s="5"/>
      <c r="AD4" s="5"/>
      <c r="AE4" s="5"/>
      <c r="AF4" s="8"/>
      <c r="AG4" s="8"/>
      <c r="AH4" s="5"/>
      <c r="AI4" s="5"/>
      <c r="AJ4" s="4"/>
    </row>
    <row r="5" spans="1:36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9"/>
      <c r="M5" s="14"/>
      <c r="N5" s="5"/>
      <c r="O5" s="5"/>
      <c r="P5" s="5"/>
      <c r="Q5" s="5"/>
      <c r="R5" s="5"/>
      <c r="S5" s="5"/>
      <c r="T5" s="5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5"/>
      <c r="AI5" s="5"/>
      <c r="AJ5" s="4"/>
    </row>
    <row r="6" spans="1:36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7"/>
      <c r="Z6" s="8"/>
      <c r="AA6" s="8"/>
      <c r="AB6" s="5"/>
      <c r="AC6" s="5"/>
      <c r="AD6" s="5"/>
      <c r="AE6" s="5"/>
      <c r="AF6" s="8"/>
      <c r="AG6" s="8"/>
      <c r="AH6" s="5"/>
      <c r="AI6" s="5"/>
      <c r="AJ6" s="4"/>
    </row>
    <row r="7" spans="1:36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3"/>
    </row>
    <row r="8" spans="1:36" ht="11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/>
      <c r="G8" s="9" t="s">
        <v>44</v>
      </c>
      <c r="H8" s="9" t="s">
        <v>35</v>
      </c>
      <c r="I8" s="9" t="s">
        <v>67</v>
      </c>
      <c r="J8" s="9" t="s">
        <v>47</v>
      </c>
      <c r="K8" s="9" t="s">
        <v>38</v>
      </c>
      <c r="L8" s="9" t="s">
        <v>38</v>
      </c>
      <c r="M8" s="9" t="s">
        <v>41</v>
      </c>
      <c r="N8" s="9" t="s">
        <v>45</v>
      </c>
      <c r="O8" s="9" t="s">
        <v>5</v>
      </c>
      <c r="P8" s="9" t="s">
        <v>39</v>
      </c>
      <c r="Q8" s="9" t="s">
        <v>37</v>
      </c>
      <c r="R8" s="9" t="s">
        <v>6</v>
      </c>
      <c r="S8" s="20" t="s">
        <v>56</v>
      </c>
      <c r="T8" s="9" t="s">
        <v>7</v>
      </c>
      <c r="U8" s="9" t="s">
        <v>8</v>
      </c>
      <c r="V8" s="9" t="s">
        <v>30</v>
      </c>
      <c r="W8" s="9"/>
      <c r="X8" s="9"/>
      <c r="Y8" s="9" t="s">
        <v>9</v>
      </c>
      <c r="Z8" s="9" t="s">
        <v>10</v>
      </c>
      <c r="AA8" s="9"/>
      <c r="AB8" s="9" t="s">
        <v>11</v>
      </c>
      <c r="AC8" s="33" t="s">
        <v>84</v>
      </c>
      <c r="AD8" s="9" t="s">
        <v>51</v>
      </c>
      <c r="AE8" s="9" t="s">
        <v>51</v>
      </c>
      <c r="AF8" s="9" t="s">
        <v>12</v>
      </c>
      <c r="AG8" s="9"/>
      <c r="AH8" s="9" t="s">
        <v>13</v>
      </c>
      <c r="AI8" s="9" t="s">
        <v>14</v>
      </c>
      <c r="AJ8" s="9" t="s">
        <v>31</v>
      </c>
    </row>
    <row r="9" spans="1:36" ht="11.25">
      <c r="A9" s="9"/>
      <c r="B9" s="9"/>
      <c r="C9" s="9"/>
      <c r="D9" s="9"/>
      <c r="E9" s="9"/>
      <c r="F9" s="9"/>
      <c r="G9" s="9" t="s">
        <v>15</v>
      </c>
      <c r="H9" s="9" t="s">
        <v>36</v>
      </c>
      <c r="I9" s="9" t="s">
        <v>68</v>
      </c>
      <c r="J9" s="9"/>
      <c r="K9" s="9" t="s">
        <v>48</v>
      </c>
      <c r="L9" s="9" t="s">
        <v>49</v>
      </c>
      <c r="M9" s="9" t="s">
        <v>42</v>
      </c>
      <c r="N9" s="9"/>
      <c r="O9" s="9"/>
      <c r="P9" s="9" t="s">
        <v>40</v>
      </c>
      <c r="Q9" s="9"/>
      <c r="R9" s="9" t="s">
        <v>16</v>
      </c>
      <c r="S9" s="21" t="s">
        <v>57</v>
      </c>
      <c r="T9" s="9"/>
      <c r="U9" s="9"/>
      <c r="V9" s="9" t="s">
        <v>17</v>
      </c>
      <c r="W9" s="9" t="s">
        <v>18</v>
      </c>
      <c r="X9" s="9" t="s">
        <v>29</v>
      </c>
      <c r="Y9" s="9"/>
      <c r="Z9" s="9" t="s">
        <v>17</v>
      </c>
      <c r="AA9" s="9" t="s">
        <v>18</v>
      </c>
      <c r="AB9" s="9" t="s">
        <v>17</v>
      </c>
      <c r="AC9" s="33" t="s">
        <v>85</v>
      </c>
      <c r="AD9" s="9" t="s">
        <v>52</v>
      </c>
      <c r="AE9" s="9" t="s">
        <v>52</v>
      </c>
      <c r="AF9" s="9" t="s">
        <v>17</v>
      </c>
      <c r="AG9" s="9" t="s">
        <v>18</v>
      </c>
      <c r="AH9" s="9"/>
      <c r="AI9" s="9"/>
      <c r="AJ9" s="3" t="s">
        <v>32</v>
      </c>
    </row>
    <row r="10" spans="1:36" ht="11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3" t="s">
        <v>82</v>
      </c>
      <c r="S10" s="21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3"/>
    </row>
    <row r="11" spans="1:36" ht="11.25">
      <c r="A11" s="9"/>
      <c r="B11" s="9"/>
      <c r="C11" s="9"/>
      <c r="D11" s="9"/>
      <c r="E11" s="9"/>
      <c r="F11" s="9"/>
      <c r="G11" s="9"/>
      <c r="H11" s="9"/>
      <c r="I11" s="9"/>
      <c r="J11" s="9" t="s">
        <v>24</v>
      </c>
      <c r="K11" s="9" t="s">
        <v>55</v>
      </c>
      <c r="L11" s="9"/>
      <c r="M11" s="9"/>
      <c r="N11" s="9" t="s">
        <v>46</v>
      </c>
      <c r="O11" s="9"/>
      <c r="P11" s="9"/>
      <c r="Q11" s="9"/>
      <c r="R11" s="9" t="s">
        <v>43</v>
      </c>
      <c r="S11" s="21"/>
      <c r="T11" s="9"/>
      <c r="U11" s="9"/>
      <c r="V11" s="9">
        <v>23.8</v>
      </c>
      <c r="W11" s="9">
        <v>8.55</v>
      </c>
      <c r="X11" s="9">
        <v>0.35</v>
      </c>
      <c r="Y11" s="9"/>
      <c r="Z11" s="9">
        <v>2.88</v>
      </c>
      <c r="AA11" s="9">
        <v>2</v>
      </c>
      <c r="AB11" s="9" t="s">
        <v>25</v>
      </c>
      <c r="AC11" s="33" t="s">
        <v>86</v>
      </c>
      <c r="AD11" s="9" t="s">
        <v>58</v>
      </c>
      <c r="AE11" s="9" t="s">
        <v>59</v>
      </c>
      <c r="AF11" s="9"/>
      <c r="AG11" s="9"/>
      <c r="AH11" s="9"/>
      <c r="AI11" s="9"/>
      <c r="AJ11" s="3"/>
    </row>
    <row r="12" spans="1:37" ht="11.25">
      <c r="A12" s="1"/>
      <c r="B12" s="5"/>
      <c r="C12" s="5"/>
      <c r="D12" s="5"/>
      <c r="E12" s="5"/>
      <c r="F12" s="11"/>
      <c r="G12" s="11"/>
      <c r="H12" s="11"/>
      <c r="I12" s="11"/>
      <c r="J12" s="11"/>
      <c r="K12" s="12"/>
      <c r="L12" s="11"/>
      <c r="M12" s="11"/>
      <c r="N12" s="11"/>
      <c r="O12" s="11"/>
      <c r="P12" s="11"/>
      <c r="Q12" s="11"/>
      <c r="R12" s="11"/>
      <c r="S12" s="2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3"/>
    </row>
    <row r="13" spans="1:37" ht="11.25">
      <c r="A13" s="15">
        <v>1</v>
      </c>
      <c r="B13" s="15" t="s">
        <v>63</v>
      </c>
      <c r="C13" s="15" t="s">
        <v>19</v>
      </c>
      <c r="D13" s="15" t="s">
        <v>20</v>
      </c>
      <c r="E13" s="15" t="s">
        <v>66</v>
      </c>
      <c r="F13" s="19"/>
      <c r="G13" s="23">
        <f>1621.18*13</f>
        <v>21075.34</v>
      </c>
      <c r="H13" s="19"/>
      <c r="I13" s="19">
        <f>12.16*13</f>
        <v>158.08</v>
      </c>
      <c r="J13" s="19"/>
      <c r="K13" s="23">
        <f>(458.17)*13</f>
        <v>5956.21</v>
      </c>
      <c r="L13" s="23">
        <f>SUM(K13*25/100)</f>
        <v>1489.0525</v>
      </c>
      <c r="M13" s="19"/>
      <c r="N13" s="23">
        <f>(4.34+41.46)*13</f>
        <v>595.4</v>
      </c>
      <c r="O13" s="19"/>
      <c r="P13" s="19">
        <v>0</v>
      </c>
      <c r="Q13" s="19">
        <v>0</v>
      </c>
      <c r="R13" s="19">
        <v>0</v>
      </c>
      <c r="S13" s="28">
        <v>0</v>
      </c>
      <c r="T13" s="19">
        <f>SUM(F13:S13)</f>
        <v>29274.082500000004</v>
      </c>
      <c r="U13" s="19">
        <f>SUM(F13:R13)</f>
        <v>29274.082500000004</v>
      </c>
      <c r="V13" s="19">
        <f>SUM(U13*23.8/100)</f>
        <v>6967.231635000001</v>
      </c>
      <c r="W13" s="19">
        <f>SUM(U13*8.55/100)</f>
        <v>2502.9340537500007</v>
      </c>
      <c r="X13" s="19">
        <f>SUM(U13*0.35/100)</f>
        <v>102.45928875000001</v>
      </c>
      <c r="Y13" s="19">
        <f>SUM(G13+H13+I13+J13+M13+N13)</f>
        <v>21828.820000000003</v>
      </c>
      <c r="Z13" s="19">
        <f>SUM(Y13*2.88/100)</f>
        <v>628.6700160000001</v>
      </c>
      <c r="AA13" s="19">
        <f>SUM(Y13*2/100)</f>
        <v>436.5764000000001</v>
      </c>
      <c r="AB13" s="19">
        <f>SUM(T13*5/1000)+(T13*5/1000*1/100)</f>
        <v>147.83411662500004</v>
      </c>
      <c r="AC13" s="19"/>
      <c r="AD13" s="19"/>
      <c r="AE13" s="19"/>
      <c r="AF13" s="19">
        <f>SUM(V13+Z13+AB13+AD13)</f>
        <v>7743.735767625001</v>
      </c>
      <c r="AG13" s="19">
        <f>SUM(W13+X13+AA13+AE13)</f>
        <v>3041.9697425000004</v>
      </c>
      <c r="AH13" s="19">
        <v>0</v>
      </c>
      <c r="AI13" s="19">
        <v>0</v>
      </c>
      <c r="AJ13" s="19">
        <f>SUM(T13*8.5/100)</f>
        <v>2488.2970125000006</v>
      </c>
      <c r="AK13" s="27"/>
    </row>
    <row r="14" spans="1:37" ht="11.25">
      <c r="A14" s="15"/>
      <c r="B14" s="15" t="s">
        <v>71</v>
      </c>
      <c r="C14" s="15"/>
      <c r="D14" s="15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8"/>
      <c r="T14" s="19">
        <f>SUM(F14:R14)</f>
        <v>0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7"/>
    </row>
    <row r="15" spans="1:37" ht="11.25">
      <c r="A15" s="15"/>
      <c r="B15" s="15"/>
      <c r="C15" s="15"/>
      <c r="D15" s="15"/>
      <c r="E15" s="1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8"/>
      <c r="T15" s="19">
        <f>SUM(F15:R15)</f>
        <v>0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7"/>
    </row>
    <row r="16" spans="1:37" ht="11.25">
      <c r="A16" s="16"/>
      <c r="B16" s="16" t="s">
        <v>22</v>
      </c>
      <c r="C16" s="16"/>
      <c r="D16" s="16"/>
      <c r="E16" s="16"/>
      <c r="F16" s="24">
        <f>SUM(F12:F15)</f>
        <v>0</v>
      </c>
      <c r="G16" s="24">
        <f>SUM(G12:G15)</f>
        <v>21075.34</v>
      </c>
      <c r="H16" s="24">
        <f aca="true" t="shared" si="0" ref="H16:AJ16">SUM(H12:H15)</f>
        <v>0</v>
      </c>
      <c r="I16" s="24">
        <f t="shared" si="0"/>
        <v>158.08</v>
      </c>
      <c r="J16" s="24">
        <f t="shared" si="0"/>
        <v>0</v>
      </c>
      <c r="K16" s="24">
        <f t="shared" si="0"/>
        <v>5956.21</v>
      </c>
      <c r="L16" s="24">
        <f t="shared" si="0"/>
        <v>1489.0525</v>
      </c>
      <c r="M16" s="24">
        <f t="shared" si="0"/>
        <v>0</v>
      </c>
      <c r="N16" s="24">
        <f t="shared" si="0"/>
        <v>595.4</v>
      </c>
      <c r="O16" s="24">
        <f t="shared" si="0"/>
        <v>0</v>
      </c>
      <c r="P16" s="24">
        <f t="shared" si="0"/>
        <v>0</v>
      </c>
      <c r="Q16" s="24">
        <f t="shared" si="0"/>
        <v>0</v>
      </c>
      <c r="R16" s="24">
        <f t="shared" si="0"/>
        <v>0</v>
      </c>
      <c r="S16" s="29">
        <f t="shared" si="0"/>
        <v>0</v>
      </c>
      <c r="T16" s="24">
        <f t="shared" si="0"/>
        <v>29274.082500000004</v>
      </c>
      <c r="U16" s="24">
        <f t="shared" si="0"/>
        <v>29274.082500000004</v>
      </c>
      <c r="V16" s="24">
        <f t="shared" si="0"/>
        <v>6967.231635000001</v>
      </c>
      <c r="W16" s="24">
        <f t="shared" si="0"/>
        <v>2502.9340537500007</v>
      </c>
      <c r="X16" s="24">
        <f t="shared" si="0"/>
        <v>102.45928875000001</v>
      </c>
      <c r="Y16" s="24">
        <f t="shared" si="0"/>
        <v>21828.820000000003</v>
      </c>
      <c r="Z16" s="24">
        <f t="shared" si="0"/>
        <v>628.6700160000001</v>
      </c>
      <c r="AA16" s="24">
        <f t="shared" si="0"/>
        <v>436.5764000000001</v>
      </c>
      <c r="AB16" s="24">
        <f t="shared" si="0"/>
        <v>147.83411662500004</v>
      </c>
      <c r="AC16" s="24"/>
      <c r="AD16" s="24">
        <f t="shared" si="0"/>
        <v>0</v>
      </c>
      <c r="AE16" s="24">
        <f t="shared" si="0"/>
        <v>0</v>
      </c>
      <c r="AF16" s="24">
        <f t="shared" si="0"/>
        <v>7743.735767625001</v>
      </c>
      <c r="AG16" s="24">
        <f t="shared" si="0"/>
        <v>3041.9697425000004</v>
      </c>
      <c r="AH16" s="24">
        <f t="shared" si="0"/>
        <v>0</v>
      </c>
      <c r="AI16" s="24">
        <f t="shared" si="0"/>
        <v>0</v>
      </c>
      <c r="AJ16" s="24">
        <f t="shared" si="0"/>
        <v>2488.2970125000006</v>
      </c>
      <c r="AK16" s="24">
        <f>SUM(AK12:AK15)</f>
        <v>0</v>
      </c>
    </row>
    <row r="17" spans="1:37" ht="11.25">
      <c r="A17" s="15"/>
      <c r="B17" s="15"/>
      <c r="C17" s="15"/>
      <c r="D17" s="15"/>
      <c r="E17" s="1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8"/>
      <c r="T17" s="19">
        <f>SUM(F17:R17)</f>
        <v>0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/>
    </row>
    <row r="18" spans="1:37" ht="11.25">
      <c r="A18" s="15">
        <v>2</v>
      </c>
      <c r="B18" s="15" t="s">
        <v>64</v>
      </c>
      <c r="C18" s="15" t="s">
        <v>19</v>
      </c>
      <c r="D18" s="15" t="s">
        <v>20</v>
      </c>
      <c r="E18" s="15" t="s">
        <v>69</v>
      </c>
      <c r="F18" s="19"/>
      <c r="G18" s="23">
        <f>1763.89*13</f>
        <v>22930.57</v>
      </c>
      <c r="H18" s="19">
        <f>(13.7+584.3)*13</f>
        <v>7774</v>
      </c>
      <c r="I18" s="19">
        <f>17.71*13</f>
        <v>230.23000000000002</v>
      </c>
      <c r="J18" s="19">
        <f>(12.15+42.61)*13</f>
        <v>711.88</v>
      </c>
      <c r="K18" s="23">
        <f>(630.42)*13</f>
        <v>8195.46</v>
      </c>
      <c r="L18" s="23">
        <f>SUM(K18*25/100)</f>
        <v>2048.865</v>
      </c>
      <c r="M18" s="19"/>
      <c r="N18" s="23">
        <f>(4.95+46.95)*13</f>
        <v>674.7</v>
      </c>
      <c r="O18" s="19"/>
      <c r="P18" s="19">
        <v>0</v>
      </c>
      <c r="Q18" s="19">
        <v>0</v>
      </c>
      <c r="R18" s="19">
        <v>0</v>
      </c>
      <c r="S18" s="28">
        <v>0</v>
      </c>
      <c r="T18" s="19">
        <f>SUM(F18:S18)</f>
        <v>42565.704999999994</v>
      </c>
      <c r="U18" s="19">
        <f>SUM(F18:R18)</f>
        <v>42565.704999999994</v>
      </c>
      <c r="V18" s="19">
        <f>SUM(U18*23.8/100)</f>
        <v>10130.637789999999</v>
      </c>
      <c r="W18" s="19">
        <f>SUM(U18*8.55/100)</f>
        <v>3639.3677775</v>
      </c>
      <c r="X18" s="19">
        <f>SUM(U18*0.35/100)</f>
        <v>148.97996749999996</v>
      </c>
      <c r="Y18" s="19">
        <f>SUM(G18+H18+I18+J18+M18+N18)</f>
        <v>32321.38</v>
      </c>
      <c r="Z18" s="19">
        <f>SUM(Y18*2.88/100)</f>
        <v>930.855744</v>
      </c>
      <c r="AA18" s="19">
        <f>SUM(Y18*2/100)</f>
        <v>646.4276</v>
      </c>
      <c r="AB18" s="19">
        <f>SUM(T18*5/1000)+(T18*5/1000*1/100)</f>
        <v>214.95681024999996</v>
      </c>
      <c r="AC18" s="19"/>
      <c r="AD18" s="19"/>
      <c r="AE18" s="19"/>
      <c r="AF18" s="19">
        <f>SUM(V18+Z18+AB18+AD18)</f>
        <v>11276.450344249999</v>
      </c>
      <c r="AG18" s="19">
        <f>SUM(W18+X18+AA18+AE18)</f>
        <v>4434.775345</v>
      </c>
      <c r="AH18" s="19">
        <f>295.89*12</f>
        <v>3550.68</v>
      </c>
      <c r="AI18" s="19">
        <f>20.88*12</f>
        <v>250.56</v>
      </c>
      <c r="AJ18" s="19">
        <f>SUM(T18*8.5/100)</f>
        <v>3618.084924999999</v>
      </c>
      <c r="AK18" s="27"/>
    </row>
    <row r="19" spans="1:37" ht="11.25">
      <c r="A19" s="15"/>
      <c r="B19" s="15" t="s">
        <v>65</v>
      </c>
      <c r="C19" s="15"/>
      <c r="D19" s="15"/>
      <c r="E19" s="15"/>
      <c r="F19" s="19"/>
      <c r="G19" s="23"/>
      <c r="H19" s="19"/>
      <c r="I19" s="19"/>
      <c r="J19" s="19"/>
      <c r="K19" s="23"/>
      <c r="L19" s="23"/>
      <c r="M19" s="19"/>
      <c r="N19" s="23"/>
      <c r="O19" s="19"/>
      <c r="P19" s="19"/>
      <c r="Q19" s="19"/>
      <c r="R19" s="19"/>
      <c r="S19" s="2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7"/>
    </row>
    <row r="20" spans="1:37" ht="11.25">
      <c r="A20" s="17"/>
      <c r="B20" s="15"/>
      <c r="C20" s="15"/>
      <c r="D20" s="15"/>
      <c r="E20" s="1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8"/>
      <c r="T20" s="19">
        <f>SUM(F20:R20)</f>
        <v>0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7"/>
    </row>
    <row r="21" spans="1:37" ht="11.25">
      <c r="A21" s="16"/>
      <c r="B21" s="16" t="s">
        <v>21</v>
      </c>
      <c r="C21" s="16"/>
      <c r="D21" s="16"/>
      <c r="E21" s="16"/>
      <c r="F21" s="24">
        <f>SUM(F18)</f>
        <v>0</v>
      </c>
      <c r="G21" s="24">
        <f>SUM(G18:G19)</f>
        <v>22930.57</v>
      </c>
      <c r="H21" s="24">
        <f aca="true" t="shared" si="1" ref="H21:AJ21">SUM(H18:H19)</f>
        <v>7774</v>
      </c>
      <c r="I21" s="24">
        <f t="shared" si="1"/>
        <v>230.23000000000002</v>
      </c>
      <c r="J21" s="24">
        <f t="shared" si="1"/>
        <v>711.88</v>
      </c>
      <c r="K21" s="24">
        <f t="shared" si="1"/>
        <v>8195.46</v>
      </c>
      <c r="L21" s="24">
        <f t="shared" si="1"/>
        <v>2048.865</v>
      </c>
      <c r="M21" s="24">
        <f t="shared" si="1"/>
        <v>0</v>
      </c>
      <c r="N21" s="24">
        <f t="shared" si="1"/>
        <v>674.7</v>
      </c>
      <c r="O21" s="24">
        <f t="shared" si="1"/>
        <v>0</v>
      </c>
      <c r="P21" s="24">
        <f t="shared" si="1"/>
        <v>0</v>
      </c>
      <c r="Q21" s="24">
        <f t="shared" si="1"/>
        <v>0</v>
      </c>
      <c r="R21" s="24">
        <f t="shared" si="1"/>
        <v>0</v>
      </c>
      <c r="S21" s="29">
        <f t="shared" si="1"/>
        <v>0</v>
      </c>
      <c r="T21" s="24">
        <f t="shared" si="1"/>
        <v>42565.704999999994</v>
      </c>
      <c r="U21" s="24">
        <f t="shared" si="1"/>
        <v>42565.704999999994</v>
      </c>
      <c r="V21" s="24">
        <f t="shared" si="1"/>
        <v>10130.637789999999</v>
      </c>
      <c r="W21" s="24">
        <f t="shared" si="1"/>
        <v>3639.3677775</v>
      </c>
      <c r="X21" s="24">
        <f t="shared" si="1"/>
        <v>148.97996749999996</v>
      </c>
      <c r="Y21" s="24">
        <f t="shared" si="1"/>
        <v>32321.38</v>
      </c>
      <c r="Z21" s="24">
        <f t="shared" si="1"/>
        <v>930.855744</v>
      </c>
      <c r="AA21" s="24">
        <f t="shared" si="1"/>
        <v>646.4276</v>
      </c>
      <c r="AB21" s="24">
        <f t="shared" si="1"/>
        <v>214.95681024999996</v>
      </c>
      <c r="AC21" s="24"/>
      <c r="AD21" s="24">
        <f t="shared" si="1"/>
        <v>0</v>
      </c>
      <c r="AE21" s="24">
        <f t="shared" si="1"/>
        <v>0</v>
      </c>
      <c r="AF21" s="24">
        <f t="shared" si="1"/>
        <v>11276.450344249999</v>
      </c>
      <c r="AG21" s="24">
        <f t="shared" si="1"/>
        <v>4434.775345</v>
      </c>
      <c r="AH21" s="24">
        <f t="shared" si="1"/>
        <v>3550.68</v>
      </c>
      <c r="AI21" s="24">
        <f t="shared" si="1"/>
        <v>250.56</v>
      </c>
      <c r="AJ21" s="24">
        <f t="shared" si="1"/>
        <v>3618.084924999999</v>
      </c>
      <c r="AK21" s="24">
        <f>SUM(AK18:AK19)</f>
        <v>0</v>
      </c>
    </row>
    <row r="22" spans="1:37" ht="11.25">
      <c r="A22" s="15"/>
      <c r="B22" s="25"/>
      <c r="C22" s="15"/>
      <c r="D22" s="15"/>
      <c r="E22" s="1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0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19"/>
      <c r="AK22" s="27"/>
    </row>
    <row r="23" spans="1:37" ht="11.25">
      <c r="A23" s="15">
        <v>3</v>
      </c>
      <c r="B23" s="15" t="s">
        <v>26</v>
      </c>
      <c r="C23" s="15" t="s">
        <v>19</v>
      </c>
      <c r="D23" s="15" t="s">
        <v>20</v>
      </c>
      <c r="E23" s="15" t="s">
        <v>61</v>
      </c>
      <c r="F23" s="19"/>
      <c r="G23" s="23">
        <f>1469.85*13</f>
        <v>19108.05</v>
      </c>
      <c r="H23" s="19">
        <f>72.02*13</f>
        <v>936.26</v>
      </c>
      <c r="I23" s="19">
        <f>11.57*13</f>
        <v>150.41</v>
      </c>
      <c r="J23" s="19">
        <v>0</v>
      </c>
      <c r="K23" s="23">
        <f>((525.33)*13)</f>
        <v>6829.290000000001</v>
      </c>
      <c r="L23" s="23">
        <f>SUM(K23*25/100)</f>
        <v>1707.3225000000002</v>
      </c>
      <c r="M23" s="19">
        <v>0</v>
      </c>
      <c r="N23" s="23">
        <f>(4.12+39.12)*13</f>
        <v>562.1199999999999</v>
      </c>
      <c r="O23" s="19"/>
      <c r="P23" s="19">
        <v>0</v>
      </c>
      <c r="Q23" s="19"/>
      <c r="R23" s="19"/>
      <c r="S23" s="28"/>
      <c r="T23" s="19">
        <f>SUM(F23:S23)</f>
        <v>29293.452499999996</v>
      </c>
      <c r="U23" s="19">
        <f>SUM(F23:R23)</f>
        <v>29293.452499999996</v>
      </c>
      <c r="V23" s="19">
        <f>SUM(U23*23.8/100)</f>
        <v>6971.841694999999</v>
      </c>
      <c r="W23" s="19">
        <f>SUM(U23*8.55/100)</f>
        <v>2504.59018875</v>
      </c>
      <c r="X23" s="19">
        <f>SUM(U23*0.35/100)</f>
        <v>102.52708374999999</v>
      </c>
      <c r="Y23" s="19">
        <f>SUM(G23+H23+I23+J23+M23+N23)</f>
        <v>20756.839999999997</v>
      </c>
      <c r="Z23" s="19">
        <f>SUM(Y23*2.88/100)</f>
        <v>597.7969919999999</v>
      </c>
      <c r="AA23" s="19">
        <f>SUM(Y23*2/100)</f>
        <v>415.13679999999994</v>
      </c>
      <c r="AB23" s="19">
        <f>SUM(T23*5/1000)+(T23*5/1000*1/100)</f>
        <v>147.93193512499997</v>
      </c>
      <c r="AC23" s="19"/>
      <c r="AD23" s="19"/>
      <c r="AE23" s="19"/>
      <c r="AF23" s="19">
        <f>SUM(V23+Z23+AB23+AD23)</f>
        <v>7717.570622124998</v>
      </c>
      <c r="AG23" s="19">
        <f>SUM(W23+X23+AA23+AE23)</f>
        <v>3022.2540725</v>
      </c>
      <c r="AH23" s="19">
        <v>0</v>
      </c>
      <c r="AI23" s="19">
        <v>0</v>
      </c>
      <c r="AJ23" s="19">
        <f>SUM(T23*8.5/100)</f>
        <v>2489.9434625</v>
      </c>
      <c r="AK23" s="27"/>
    </row>
    <row r="24" spans="1:37" ht="11.25">
      <c r="A24" s="15"/>
      <c r="B24" s="15" t="s">
        <v>62</v>
      </c>
      <c r="C24" s="15"/>
      <c r="D24" s="15"/>
      <c r="E24" s="15"/>
      <c r="F24" s="19"/>
      <c r="G24" s="23"/>
      <c r="H24" s="19"/>
      <c r="I24" s="19"/>
      <c r="J24" s="19"/>
      <c r="K24" s="23"/>
      <c r="L24" s="23"/>
      <c r="M24" s="19"/>
      <c r="N24" s="23"/>
      <c r="O24" s="19"/>
      <c r="P24" s="19"/>
      <c r="Q24" s="19"/>
      <c r="R24" s="19"/>
      <c r="S24" s="2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7"/>
    </row>
    <row r="25" spans="1:37" ht="11.25">
      <c r="A25" s="15"/>
      <c r="B25" s="15"/>
      <c r="C25" s="15"/>
      <c r="D25" s="15"/>
      <c r="E25" s="15"/>
      <c r="F25" s="19"/>
      <c r="G25" s="23"/>
      <c r="H25" s="19"/>
      <c r="I25" s="19"/>
      <c r="J25" s="19"/>
      <c r="K25" s="23"/>
      <c r="L25" s="23"/>
      <c r="M25" s="19"/>
      <c r="N25" s="23"/>
      <c r="O25" s="19"/>
      <c r="P25" s="19"/>
      <c r="Q25" s="19"/>
      <c r="R25" s="19"/>
      <c r="S25" s="2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7"/>
    </row>
    <row r="26" spans="1:37" ht="11.25">
      <c r="A26" s="15">
        <v>4</v>
      </c>
      <c r="B26" s="15" t="s">
        <v>70</v>
      </c>
      <c r="C26" s="15" t="s">
        <v>72</v>
      </c>
      <c r="D26" s="15" t="s">
        <v>20</v>
      </c>
      <c r="E26" s="15" t="s">
        <v>73</v>
      </c>
      <c r="F26" s="19"/>
      <c r="G26" s="23">
        <f>759.58*13</f>
        <v>9874.54</v>
      </c>
      <c r="H26" s="19"/>
      <c r="I26" s="19">
        <f>(5.7)*13</f>
        <v>74.10000000000001</v>
      </c>
      <c r="J26" s="19"/>
      <c r="K26" s="23"/>
      <c r="L26" s="23"/>
      <c r="M26" s="19"/>
      <c r="N26" s="19">
        <f>(17.79+1.87)*13</f>
        <v>255.58</v>
      </c>
      <c r="O26" s="19"/>
      <c r="P26" s="19"/>
      <c r="Q26" s="19"/>
      <c r="R26" s="19"/>
      <c r="S26" s="28"/>
      <c r="T26" s="19">
        <f>SUM(F26:S26)</f>
        <v>10204.220000000001</v>
      </c>
      <c r="U26" s="19">
        <f>SUM(F26:R26)</f>
        <v>10204.220000000001</v>
      </c>
      <c r="V26" s="19">
        <f>SUM(U26*23.8/100)</f>
        <v>2428.6043600000003</v>
      </c>
      <c r="W26" s="19">
        <f>SUM(U26*8.55/100)</f>
        <v>872.4608100000002</v>
      </c>
      <c r="X26" s="19">
        <f>SUM(U26*0.35/100)</f>
        <v>35.71477</v>
      </c>
      <c r="Y26" s="19">
        <f>SUM(G26+H26+I26+J26+M26+N26)</f>
        <v>10204.220000000001</v>
      </c>
      <c r="Z26" s="19">
        <f>SUM(Y26*2.88/100)</f>
        <v>293.88153600000004</v>
      </c>
      <c r="AA26" s="19">
        <f>SUM(Y26*2/100)</f>
        <v>204.08440000000002</v>
      </c>
      <c r="AB26" s="19">
        <f>SUM(T26*5/1000)+(T26*5/1000*1/100)</f>
        <v>51.531311</v>
      </c>
      <c r="AC26" s="19"/>
      <c r="AD26" s="19"/>
      <c r="AE26" s="19"/>
      <c r="AF26" s="19">
        <f>SUM(V26+Z26+AB26+AD26)</f>
        <v>2774.0172070000003</v>
      </c>
      <c r="AG26" s="19">
        <f>SUM(W26+X26+AA26+AE26)</f>
        <v>1112.2599800000003</v>
      </c>
      <c r="AH26" s="19">
        <v>0</v>
      </c>
      <c r="AI26" s="19">
        <v>0</v>
      </c>
      <c r="AJ26" s="19">
        <f>SUM(T26*8.5/100)</f>
        <v>867.3587000000001</v>
      </c>
      <c r="AK26" s="27"/>
    </row>
    <row r="27" spans="1:37" ht="11.25">
      <c r="A27" s="15"/>
      <c r="B27" s="15" t="s">
        <v>71</v>
      </c>
      <c r="C27" s="15"/>
      <c r="D27" s="15"/>
      <c r="E27" s="15"/>
      <c r="F27" s="19"/>
      <c r="G27" s="23"/>
      <c r="H27" s="19"/>
      <c r="I27" s="19"/>
      <c r="J27" s="19"/>
      <c r="K27" s="23"/>
      <c r="L27" s="23"/>
      <c r="M27" s="19"/>
      <c r="N27" s="19"/>
      <c r="O27" s="19"/>
      <c r="P27" s="19"/>
      <c r="Q27" s="19"/>
      <c r="R27" s="19"/>
      <c r="S27" s="28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7"/>
    </row>
    <row r="28" spans="1:37" ht="11.25">
      <c r="A28" s="15"/>
      <c r="C28" s="15"/>
      <c r="D28" s="15"/>
      <c r="E28" s="1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8"/>
      <c r="T28" s="19">
        <f>SUM(F28:R28)</f>
        <v>0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7"/>
    </row>
    <row r="29" spans="1:37" ht="11.25">
      <c r="A29" s="15"/>
      <c r="B29" s="25" t="s">
        <v>27</v>
      </c>
      <c r="C29" s="15"/>
      <c r="D29" s="15"/>
      <c r="E29" s="15"/>
      <c r="F29" s="26">
        <f>SUM(F23)</f>
        <v>0</v>
      </c>
      <c r="G29" s="26">
        <f>SUM(G23:G27)</f>
        <v>28982.59</v>
      </c>
      <c r="H29" s="26">
        <f>SUM(H23:H27)</f>
        <v>936.26</v>
      </c>
      <c r="I29" s="26">
        <f>SUM(I23:I27)</f>
        <v>224.51</v>
      </c>
      <c r="J29" s="26">
        <f aca="true" t="shared" si="2" ref="H29:AJ29">SUM(J23:J27)</f>
        <v>0</v>
      </c>
      <c r="K29" s="26">
        <f>SUM(K23:K27)</f>
        <v>6829.290000000001</v>
      </c>
      <c r="L29" s="26">
        <f t="shared" si="2"/>
        <v>1707.3225000000002</v>
      </c>
      <c r="M29" s="26">
        <f>SUM(M23:M27)</f>
        <v>0</v>
      </c>
      <c r="N29" s="26">
        <f>SUM(N23:N27)</f>
        <v>817.6999999999999</v>
      </c>
      <c r="O29" s="26">
        <f t="shared" si="2"/>
        <v>0</v>
      </c>
      <c r="P29" s="26">
        <f t="shared" si="2"/>
        <v>0</v>
      </c>
      <c r="Q29" s="26">
        <f t="shared" si="2"/>
        <v>0</v>
      </c>
      <c r="R29" s="26">
        <f t="shared" si="2"/>
        <v>0</v>
      </c>
      <c r="S29" s="30">
        <f t="shared" si="2"/>
        <v>0</v>
      </c>
      <c r="T29" s="26">
        <f>SUM(T23:T27)</f>
        <v>39497.6725</v>
      </c>
      <c r="U29" s="26">
        <f>SUM(U23:U27)</f>
        <v>39497.6725</v>
      </c>
      <c r="V29" s="26">
        <f>SUM(V23:V27)</f>
        <v>9400.446055</v>
      </c>
      <c r="W29" s="26">
        <f>SUM(W23:W27)</f>
        <v>3377.05099875</v>
      </c>
      <c r="X29" s="26">
        <f>SUM(X23:X27)</f>
        <v>138.24185375</v>
      </c>
      <c r="Y29" s="26">
        <f>SUM(Y23:Y27)</f>
        <v>30961.059999999998</v>
      </c>
      <c r="Z29" s="26">
        <f>SUM(Z23:Z27)</f>
        <v>891.6785279999999</v>
      </c>
      <c r="AA29" s="26">
        <f>SUM(AA23:AA27)</f>
        <v>619.2212</v>
      </c>
      <c r="AB29" s="26">
        <f>SUM(AB23:AB27)</f>
        <v>199.46324612499996</v>
      </c>
      <c r="AC29" s="26"/>
      <c r="AD29" s="26">
        <f t="shared" si="2"/>
        <v>0</v>
      </c>
      <c r="AE29" s="26">
        <f t="shared" si="2"/>
        <v>0</v>
      </c>
      <c r="AF29" s="26">
        <f>SUM(AF23:AF27)</f>
        <v>10491.587829125</v>
      </c>
      <c r="AG29" s="26">
        <f>SUM(AG23:AG27)</f>
        <v>4134.514052500001</v>
      </c>
      <c r="AH29" s="26">
        <f t="shared" si="2"/>
        <v>0</v>
      </c>
      <c r="AI29" s="26">
        <f t="shared" si="2"/>
        <v>0</v>
      </c>
      <c r="AJ29" s="26">
        <f>SUM(AJ23:AJ27)</f>
        <v>3357.3021625</v>
      </c>
      <c r="AK29" s="26">
        <f>SUM(AK23)</f>
        <v>0</v>
      </c>
    </row>
    <row r="30" spans="1:37" ht="11.25">
      <c r="A30" s="15"/>
      <c r="B30" s="25"/>
      <c r="C30" s="15"/>
      <c r="D30" s="15"/>
      <c r="E30" s="1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0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19"/>
      <c r="AK30" s="27"/>
    </row>
    <row r="31" spans="1:37" ht="11.25">
      <c r="A31" s="15">
        <v>5</v>
      </c>
      <c r="B31" s="15" t="s">
        <v>74</v>
      </c>
      <c r="C31" s="15" t="s">
        <v>72</v>
      </c>
      <c r="D31" s="15" t="s">
        <v>20</v>
      </c>
      <c r="E31" s="15" t="s">
        <v>66</v>
      </c>
      <c r="F31" s="26"/>
      <c r="G31" s="23">
        <f>1621.18*13</f>
        <v>21075.34</v>
      </c>
      <c r="H31" s="19"/>
      <c r="I31" s="19">
        <f>12.16*13</f>
        <v>158.08</v>
      </c>
      <c r="J31" s="19">
        <v>0</v>
      </c>
      <c r="K31" s="23"/>
      <c r="L31" s="23">
        <f>SUM(K31*25/100)</f>
        <v>0</v>
      </c>
      <c r="M31" s="19">
        <v>0</v>
      </c>
      <c r="N31" s="23">
        <f>(4.34+41.46)*13</f>
        <v>595.4</v>
      </c>
      <c r="O31" s="19"/>
      <c r="P31" s="19">
        <v>0</v>
      </c>
      <c r="Q31" s="19"/>
      <c r="R31" s="19"/>
      <c r="S31" s="28"/>
      <c r="T31" s="19">
        <f>SUM(F31:S31)</f>
        <v>21828.820000000003</v>
      </c>
      <c r="U31" s="19">
        <f>SUM(F31:R31)</f>
        <v>21828.820000000003</v>
      </c>
      <c r="V31" s="19">
        <f>SUM(U31*23.8/100)</f>
        <v>5195.2591600000005</v>
      </c>
      <c r="W31" s="19">
        <f>SUM(U31*8.55/100)</f>
        <v>1866.3641100000004</v>
      </c>
      <c r="X31" s="19">
        <f>SUM(U31*0.35/100)</f>
        <v>76.40087</v>
      </c>
      <c r="Y31" s="19">
        <f>SUM(G31+H31+I31+J31+M31+N31)</f>
        <v>21828.820000000003</v>
      </c>
      <c r="Z31" s="19">
        <f>SUM(Y31*2.88/100)</f>
        <v>628.6700160000001</v>
      </c>
      <c r="AA31" s="19">
        <f>SUM(Y31*2/100)</f>
        <v>436.5764000000001</v>
      </c>
      <c r="AB31" s="19">
        <f>SUM(T31*5/1000)+(T31*5/1000*1/100)</f>
        <v>110.23554100000003</v>
      </c>
      <c r="AC31" s="19"/>
      <c r="AD31" s="19"/>
      <c r="AE31" s="19"/>
      <c r="AF31" s="19">
        <f>SUM(V31+Z31+AB31+AD31)</f>
        <v>5934.164717000001</v>
      </c>
      <c r="AG31" s="19">
        <f>SUM(W31+X31+AA31+AE31)</f>
        <v>2379.3413800000003</v>
      </c>
      <c r="AH31" s="19">
        <v>0</v>
      </c>
      <c r="AI31" s="19">
        <v>0</v>
      </c>
      <c r="AJ31" s="19">
        <f>SUM(T31*8.5/100)</f>
        <v>1855.4497000000003</v>
      </c>
      <c r="AK31" s="27"/>
    </row>
    <row r="32" spans="1:37" ht="11.25">
      <c r="A32" s="15"/>
      <c r="B32" s="15" t="s">
        <v>71</v>
      </c>
      <c r="C32" s="15"/>
      <c r="D32" s="18"/>
      <c r="E32" s="15"/>
      <c r="F32" s="19"/>
      <c r="G32" s="23"/>
      <c r="H32" s="19"/>
      <c r="I32" s="19"/>
      <c r="J32" s="19"/>
      <c r="K32" s="23"/>
      <c r="L32" s="23"/>
      <c r="M32" s="23"/>
      <c r="N32" s="23"/>
      <c r="O32" s="19"/>
      <c r="P32" s="19"/>
      <c r="Q32" s="19"/>
      <c r="R32" s="19"/>
      <c r="S32" s="2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7"/>
    </row>
    <row r="33" spans="1:37" ht="11.25">
      <c r="A33" s="15"/>
      <c r="B33" s="15"/>
      <c r="C33" s="15"/>
      <c r="D33" s="15"/>
      <c r="E33" s="15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8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7"/>
    </row>
    <row r="34" spans="1:37" ht="11.25">
      <c r="A34" s="15"/>
      <c r="B34" s="25" t="s">
        <v>50</v>
      </c>
      <c r="C34" s="15"/>
      <c r="D34" s="15"/>
      <c r="E34" s="15"/>
      <c r="F34" s="26">
        <f>SUM(F32:F32)</f>
        <v>0</v>
      </c>
      <c r="G34" s="26">
        <f>SUM(G31:G33)</f>
        <v>21075.34</v>
      </c>
      <c r="H34" s="26">
        <f aca="true" t="shared" si="3" ref="H34:AJ34">SUM(H31:H33)</f>
        <v>0</v>
      </c>
      <c r="I34" s="26">
        <f>SUM(I31:I33)</f>
        <v>158.08</v>
      </c>
      <c r="J34" s="26">
        <f t="shared" si="3"/>
        <v>0</v>
      </c>
      <c r="K34" s="26">
        <f t="shared" si="3"/>
        <v>0</v>
      </c>
      <c r="L34" s="26">
        <f t="shared" si="3"/>
        <v>0</v>
      </c>
      <c r="M34" s="26">
        <f t="shared" si="3"/>
        <v>0</v>
      </c>
      <c r="N34" s="26">
        <f t="shared" si="3"/>
        <v>595.4</v>
      </c>
      <c r="O34" s="26">
        <f t="shared" si="3"/>
        <v>0</v>
      </c>
      <c r="P34" s="26">
        <f t="shared" si="3"/>
        <v>0</v>
      </c>
      <c r="Q34" s="26">
        <f t="shared" si="3"/>
        <v>0</v>
      </c>
      <c r="R34" s="26">
        <f t="shared" si="3"/>
        <v>0</v>
      </c>
      <c r="S34" s="30">
        <f t="shared" si="3"/>
        <v>0</v>
      </c>
      <c r="T34" s="26">
        <f t="shared" si="3"/>
        <v>21828.820000000003</v>
      </c>
      <c r="U34" s="26">
        <f t="shared" si="3"/>
        <v>21828.820000000003</v>
      </c>
      <c r="V34" s="26">
        <f t="shared" si="3"/>
        <v>5195.2591600000005</v>
      </c>
      <c r="W34" s="26">
        <f t="shared" si="3"/>
        <v>1866.3641100000004</v>
      </c>
      <c r="X34" s="26">
        <f t="shared" si="3"/>
        <v>76.40087</v>
      </c>
      <c r="Y34" s="26">
        <f t="shared" si="3"/>
        <v>21828.820000000003</v>
      </c>
      <c r="Z34" s="26">
        <f t="shared" si="3"/>
        <v>628.6700160000001</v>
      </c>
      <c r="AA34" s="26">
        <f t="shared" si="3"/>
        <v>436.5764000000001</v>
      </c>
      <c r="AB34" s="26">
        <f t="shared" si="3"/>
        <v>110.23554100000003</v>
      </c>
      <c r="AC34" s="26"/>
      <c r="AD34" s="26">
        <f t="shared" si="3"/>
        <v>0</v>
      </c>
      <c r="AE34" s="26">
        <f t="shared" si="3"/>
        <v>0</v>
      </c>
      <c r="AF34" s="26">
        <f t="shared" si="3"/>
        <v>5934.164717000001</v>
      </c>
      <c r="AG34" s="26">
        <f t="shared" si="3"/>
        <v>2379.3413800000003</v>
      </c>
      <c r="AH34" s="26">
        <f t="shared" si="3"/>
        <v>0</v>
      </c>
      <c r="AI34" s="26">
        <f t="shared" si="3"/>
        <v>0</v>
      </c>
      <c r="AJ34" s="26">
        <f t="shared" si="3"/>
        <v>1855.4497000000003</v>
      </c>
      <c r="AK34" s="26">
        <f>SUM(AK32:AK32)</f>
        <v>0</v>
      </c>
    </row>
    <row r="35" spans="1:37" ht="11.25">
      <c r="A35" s="15"/>
      <c r="B35" s="25"/>
      <c r="C35" s="15"/>
      <c r="D35" s="15"/>
      <c r="E35" s="1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0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ht="11.25">
      <c r="A36" s="15">
        <v>6</v>
      </c>
      <c r="B36" s="15" t="s">
        <v>79</v>
      </c>
      <c r="C36" s="15" t="s">
        <v>19</v>
      </c>
      <c r="D36" s="15" t="s">
        <v>20</v>
      </c>
      <c r="E36" s="15" t="s">
        <v>80</v>
      </c>
      <c r="F36" s="19"/>
      <c r="G36" s="23">
        <f>1621.18*13</f>
        <v>21075.34</v>
      </c>
      <c r="H36" s="19">
        <f>(0.4+138.43)*13</f>
        <v>1804.7900000000002</v>
      </c>
      <c r="I36" s="19">
        <f>13.2*13</f>
        <v>171.6</v>
      </c>
      <c r="J36" s="19"/>
      <c r="K36" s="23"/>
      <c r="L36" s="23"/>
      <c r="M36" s="19"/>
      <c r="N36" s="23">
        <f>(4.34+41.46)*13</f>
        <v>595.4</v>
      </c>
      <c r="O36" s="19"/>
      <c r="P36" s="19">
        <v>0</v>
      </c>
      <c r="Q36" s="19">
        <v>0</v>
      </c>
      <c r="R36" s="19">
        <f>65.03*13</f>
        <v>845.39</v>
      </c>
      <c r="S36" s="28">
        <v>0</v>
      </c>
      <c r="T36" s="19">
        <f>SUM(F36:S36)</f>
        <v>24492.52</v>
      </c>
      <c r="U36" s="19">
        <f>SUM(F36:R36)</f>
        <v>24492.52</v>
      </c>
      <c r="V36" s="19">
        <f>SUM(U36*23.8/100)</f>
        <v>5829.21976</v>
      </c>
      <c r="W36" s="19">
        <f>SUM(U36*8.55/100)</f>
        <v>2094.1104600000003</v>
      </c>
      <c r="X36" s="19">
        <f>SUM(U36*0.35/100)</f>
        <v>85.72381999999999</v>
      </c>
      <c r="Y36" s="19">
        <f>SUM(F36:N36)</f>
        <v>23647.13</v>
      </c>
      <c r="Z36" s="19">
        <f>SUM(Y36*2.88/100)</f>
        <v>681.037344</v>
      </c>
      <c r="AA36" s="19">
        <f>SUM(Y36*2/100)</f>
        <v>472.9426</v>
      </c>
      <c r="AB36" s="19">
        <f>SUM(T36*33/1000)+(T36*33/1000*1/100)</f>
        <v>816.3356916</v>
      </c>
      <c r="AC36" s="19"/>
      <c r="AD36" s="19"/>
      <c r="AE36" s="19"/>
      <c r="AF36" s="19">
        <f>SUM(V36+Z36+AB36+AD36)</f>
        <v>7326.5927956000005</v>
      </c>
      <c r="AG36" s="19">
        <f>SUM(W36+X36+AA36+AE36)</f>
        <v>2652.7768800000003</v>
      </c>
      <c r="AH36" s="19"/>
      <c r="AI36" s="19">
        <f>15.62*12</f>
        <v>187.44</v>
      </c>
      <c r="AJ36" s="19">
        <f>SUM(T36*8.5/100)</f>
        <v>2081.8642</v>
      </c>
      <c r="AK36" s="27"/>
    </row>
    <row r="37" spans="1:37" ht="11.25">
      <c r="A37" s="15"/>
      <c r="B37" s="15" t="s">
        <v>81</v>
      </c>
      <c r="C37" s="15"/>
      <c r="D37" s="15"/>
      <c r="E37" s="15"/>
      <c r="F37" s="19"/>
      <c r="G37" s="23"/>
      <c r="H37" s="19"/>
      <c r="I37" s="19"/>
      <c r="J37" s="19"/>
      <c r="K37" s="23"/>
      <c r="L37" s="23"/>
      <c r="M37" s="19"/>
      <c r="N37" s="23"/>
      <c r="O37" s="19"/>
      <c r="P37" s="19"/>
      <c r="Q37" s="19"/>
      <c r="R37" s="19"/>
      <c r="S37" s="28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7"/>
    </row>
    <row r="38" spans="1:37" ht="11.25">
      <c r="A38" s="17"/>
      <c r="B38" s="15"/>
      <c r="C38" s="15"/>
      <c r="D38" s="15"/>
      <c r="E38" s="1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8"/>
      <c r="T38" s="19">
        <f>SUM(F38:R38)</f>
        <v>0</v>
      </c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7"/>
    </row>
    <row r="39" spans="1:37" ht="11.25">
      <c r="A39" s="16"/>
      <c r="B39" s="25" t="s">
        <v>78</v>
      </c>
      <c r="C39" s="16"/>
      <c r="D39" s="16"/>
      <c r="E39" s="16"/>
      <c r="F39" s="24">
        <f>SUM(F36)</f>
        <v>0</v>
      </c>
      <c r="G39" s="24">
        <f>SUM(G36:G37)</f>
        <v>21075.34</v>
      </c>
      <c r="H39" s="24">
        <f aca="true" t="shared" si="4" ref="H39:AJ39">SUM(H36:H37)</f>
        <v>1804.7900000000002</v>
      </c>
      <c r="I39" s="24">
        <f t="shared" si="4"/>
        <v>171.6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595.4</v>
      </c>
      <c r="O39" s="24">
        <f t="shared" si="4"/>
        <v>0</v>
      </c>
      <c r="P39" s="24">
        <f t="shared" si="4"/>
        <v>0</v>
      </c>
      <c r="Q39" s="24">
        <f t="shared" si="4"/>
        <v>0</v>
      </c>
      <c r="R39" s="24">
        <f t="shared" si="4"/>
        <v>845.39</v>
      </c>
      <c r="S39" s="29">
        <f t="shared" si="4"/>
        <v>0</v>
      </c>
      <c r="T39" s="24">
        <f t="shared" si="4"/>
        <v>24492.52</v>
      </c>
      <c r="U39" s="24">
        <f t="shared" si="4"/>
        <v>24492.52</v>
      </c>
      <c r="V39" s="24">
        <f t="shared" si="4"/>
        <v>5829.21976</v>
      </c>
      <c r="W39" s="24">
        <f t="shared" si="4"/>
        <v>2094.1104600000003</v>
      </c>
      <c r="X39" s="24">
        <f t="shared" si="4"/>
        <v>85.72381999999999</v>
      </c>
      <c r="Y39" s="24">
        <f t="shared" si="4"/>
        <v>23647.13</v>
      </c>
      <c r="Z39" s="24">
        <f t="shared" si="4"/>
        <v>681.037344</v>
      </c>
      <c r="AA39" s="24">
        <f t="shared" si="4"/>
        <v>472.9426</v>
      </c>
      <c r="AB39" s="24">
        <f t="shared" si="4"/>
        <v>816.3356916</v>
      </c>
      <c r="AC39" s="24"/>
      <c r="AD39" s="24">
        <f t="shared" si="4"/>
        <v>0</v>
      </c>
      <c r="AE39" s="24">
        <f t="shared" si="4"/>
        <v>0</v>
      </c>
      <c r="AF39" s="24">
        <f t="shared" si="4"/>
        <v>7326.5927956000005</v>
      </c>
      <c r="AG39" s="24">
        <f t="shared" si="4"/>
        <v>2652.7768800000003</v>
      </c>
      <c r="AH39" s="24">
        <f t="shared" si="4"/>
        <v>0</v>
      </c>
      <c r="AI39" s="24">
        <f t="shared" si="4"/>
        <v>187.44</v>
      </c>
      <c r="AJ39" s="24">
        <f t="shared" si="4"/>
        <v>2081.8642</v>
      </c>
      <c r="AK39" s="24">
        <f>SUM(AK36:AK37)</f>
        <v>0</v>
      </c>
    </row>
    <row r="40" spans="1:37" ht="11.25">
      <c r="A40" s="16"/>
      <c r="B40" s="25"/>
      <c r="C40" s="16"/>
      <c r="D40" s="16"/>
      <c r="E40" s="1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9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ht="11.25">
      <c r="A41" s="15">
        <v>7</v>
      </c>
      <c r="B41" s="15" t="s">
        <v>83</v>
      </c>
      <c r="C41" s="15"/>
      <c r="D41" s="15"/>
      <c r="E41" s="15"/>
      <c r="F41" s="19"/>
      <c r="G41" s="23">
        <f>542*12</f>
        <v>6504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0"/>
      <c r="T41" s="19">
        <f>SUM(F41:S41)</f>
        <v>6504</v>
      </c>
      <c r="U41" s="19">
        <v>0</v>
      </c>
      <c r="V41" s="19">
        <f>SUM(U41*23.8/100)</f>
        <v>0</v>
      </c>
      <c r="W41" s="19">
        <f>SUM(U41*8.55/100)</f>
        <v>0</v>
      </c>
      <c r="X41" s="19">
        <f>SUM(U41*0.35/100)</f>
        <v>0</v>
      </c>
      <c r="Y41" s="19">
        <v>0</v>
      </c>
      <c r="Z41" s="19">
        <f>SUM(Y41*2.88/100)</f>
        <v>0</v>
      </c>
      <c r="AA41" s="19">
        <f>SUM(Y41*2/100)</f>
        <v>0</v>
      </c>
      <c r="AB41" s="19">
        <f>SUM(T41*5/1000)+(T41*5/1000*1/100)</f>
        <v>32.845200000000006</v>
      </c>
      <c r="AC41" s="19">
        <f>1.63*12</f>
        <v>19.56</v>
      </c>
      <c r="AD41" s="19">
        <f>AE41*2</f>
        <v>1019.04</v>
      </c>
      <c r="AE41" s="19">
        <f>42.46*12</f>
        <v>509.52</v>
      </c>
      <c r="AF41" s="19">
        <f>SUM(V41+Z41+AB41+AD41)</f>
        <v>1051.8852</v>
      </c>
      <c r="AG41" s="19">
        <f>SUM(W41+X41+AA41+AC41+AE41)</f>
        <v>529.0799999999999</v>
      </c>
      <c r="AH41" s="19">
        <v>0</v>
      </c>
      <c r="AI41" s="19">
        <v>0</v>
      </c>
      <c r="AJ41" s="19">
        <f>SUM(T41*8.5/100)</f>
        <v>552.84</v>
      </c>
      <c r="AK41" s="27"/>
    </row>
    <row r="42" spans="1:37" ht="11.25">
      <c r="A42" s="15"/>
      <c r="B42" s="15" t="s">
        <v>53</v>
      </c>
      <c r="C42" s="15"/>
      <c r="D42" s="15"/>
      <c r="E42" s="1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8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7"/>
    </row>
    <row r="43" spans="1:37" ht="11.25">
      <c r="A43" s="15"/>
      <c r="B43" s="25" t="s">
        <v>54</v>
      </c>
      <c r="C43" s="15"/>
      <c r="D43" s="15"/>
      <c r="E43" s="15"/>
      <c r="F43" s="26">
        <f>SUM(F41)</f>
        <v>0</v>
      </c>
      <c r="G43" s="26">
        <f>SUM(G41:G42)</f>
        <v>6504</v>
      </c>
      <c r="H43" s="26">
        <f aca="true" t="shared" si="5" ref="H43:AJ43">SUM(H41:H42)</f>
        <v>0</v>
      </c>
      <c r="I43" s="26">
        <f t="shared" si="5"/>
        <v>0</v>
      </c>
      <c r="J43" s="26">
        <f t="shared" si="5"/>
        <v>0</v>
      </c>
      <c r="K43" s="26">
        <f t="shared" si="5"/>
        <v>0</v>
      </c>
      <c r="L43" s="26">
        <f t="shared" si="5"/>
        <v>0</v>
      </c>
      <c r="M43" s="26">
        <f t="shared" si="5"/>
        <v>0</v>
      </c>
      <c r="N43" s="26">
        <f t="shared" si="5"/>
        <v>0</v>
      </c>
      <c r="O43" s="26">
        <f t="shared" si="5"/>
        <v>0</v>
      </c>
      <c r="P43" s="26">
        <f t="shared" si="5"/>
        <v>0</v>
      </c>
      <c r="Q43" s="26">
        <f t="shared" si="5"/>
        <v>0</v>
      </c>
      <c r="R43" s="26">
        <f t="shared" si="5"/>
        <v>0</v>
      </c>
      <c r="S43" s="30">
        <f t="shared" si="5"/>
        <v>0</v>
      </c>
      <c r="T43" s="26">
        <f t="shared" si="5"/>
        <v>6504</v>
      </c>
      <c r="U43" s="26">
        <f t="shared" si="5"/>
        <v>0</v>
      </c>
      <c r="V43" s="26">
        <f t="shared" si="5"/>
        <v>0</v>
      </c>
      <c r="W43" s="26">
        <f t="shared" si="5"/>
        <v>0</v>
      </c>
      <c r="X43" s="26">
        <f t="shared" si="5"/>
        <v>0</v>
      </c>
      <c r="Y43" s="26">
        <f t="shared" si="5"/>
        <v>0</v>
      </c>
      <c r="Z43" s="26">
        <f t="shared" si="5"/>
        <v>0</v>
      </c>
      <c r="AA43" s="26">
        <f t="shared" si="5"/>
        <v>0</v>
      </c>
      <c r="AB43" s="26">
        <f t="shared" si="5"/>
        <v>32.845200000000006</v>
      </c>
      <c r="AC43" s="26">
        <f>AC41</f>
        <v>19.56</v>
      </c>
      <c r="AD43" s="26">
        <f t="shared" si="5"/>
        <v>1019.04</v>
      </c>
      <c r="AE43" s="26">
        <f t="shared" si="5"/>
        <v>509.52</v>
      </c>
      <c r="AF43" s="26">
        <f t="shared" si="5"/>
        <v>1051.8852</v>
      </c>
      <c r="AG43" s="26">
        <f t="shared" si="5"/>
        <v>529.0799999999999</v>
      </c>
      <c r="AH43" s="26">
        <f t="shared" si="5"/>
        <v>0</v>
      </c>
      <c r="AI43" s="26">
        <f t="shared" si="5"/>
        <v>0</v>
      </c>
      <c r="AJ43" s="26">
        <f t="shared" si="5"/>
        <v>552.84</v>
      </c>
      <c r="AK43" s="26">
        <f>SUM(AK41)</f>
        <v>0</v>
      </c>
    </row>
    <row r="44" spans="1:37" ht="11.25">
      <c r="A44" s="15"/>
      <c r="B44" s="15"/>
      <c r="C44" s="15"/>
      <c r="D44" s="15"/>
      <c r="E44" s="1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7"/>
    </row>
    <row r="45" spans="1:37" ht="11.25">
      <c r="A45" s="15">
        <v>8</v>
      </c>
      <c r="B45" s="15" t="s">
        <v>33</v>
      </c>
      <c r="C45" s="15" t="s">
        <v>19</v>
      </c>
      <c r="D45" s="15" t="s">
        <v>20</v>
      </c>
      <c r="E45" s="15" t="s">
        <v>60</v>
      </c>
      <c r="F45" s="19"/>
      <c r="G45" s="23">
        <f>1519.16*13</f>
        <v>19749.08</v>
      </c>
      <c r="H45" s="19">
        <f>(8+129.37)*13</f>
        <v>1785.81</v>
      </c>
      <c r="I45" s="19">
        <f>12.42*13</f>
        <v>161.46</v>
      </c>
      <c r="J45" s="19">
        <v>0</v>
      </c>
      <c r="K45" s="19">
        <v>0</v>
      </c>
      <c r="L45" s="19">
        <v>0</v>
      </c>
      <c r="M45" s="19">
        <f>(4.61)*13</f>
        <v>59.93000000000001</v>
      </c>
      <c r="N45" s="23">
        <f>(3.73+35.58)*13</f>
        <v>511.0299999999999</v>
      </c>
      <c r="O45" s="19"/>
      <c r="P45" s="19"/>
      <c r="Q45" s="19"/>
      <c r="R45" s="23">
        <f>30*13</f>
        <v>390</v>
      </c>
      <c r="S45" s="31">
        <f>(326.67)*12</f>
        <v>3920.04</v>
      </c>
      <c r="T45" s="19">
        <f>SUM(F45:S45)</f>
        <v>26577.350000000002</v>
      </c>
      <c r="U45" s="19">
        <f>SUM(F45:R45)</f>
        <v>22657.31</v>
      </c>
      <c r="V45" s="19">
        <f>SUM(U45*23.8/100)</f>
        <v>5392.43978</v>
      </c>
      <c r="W45" s="19">
        <f>SUM(U45*8.55/100)</f>
        <v>1937.2000050000001</v>
      </c>
      <c r="X45" s="19">
        <f>SUM(U45*0.35/100)</f>
        <v>79.300585</v>
      </c>
      <c r="Y45" s="19">
        <f>SUM(G45+H45+I45+J45+M45+N45)</f>
        <v>22267.31</v>
      </c>
      <c r="Z45" s="19">
        <f>SUM(Y45*2.88/100)</f>
        <v>641.298528</v>
      </c>
      <c r="AA45" s="19">
        <f>SUM(Y45*2/100)</f>
        <v>445.3462</v>
      </c>
      <c r="AB45" s="19">
        <f>SUM(T45*22/1000)+(T45*22/1000*1/100)</f>
        <v>590.5487170000001</v>
      </c>
      <c r="AC45" s="19"/>
      <c r="AD45" s="19"/>
      <c r="AE45" s="19"/>
      <c r="AF45" s="19">
        <f>SUM(V45+Z45+AB45+AD45)</f>
        <v>6624.287025</v>
      </c>
      <c r="AG45" s="19">
        <f>SUM(W45+X45+AA45+AE45)</f>
        <v>2461.84679</v>
      </c>
      <c r="AH45" s="19">
        <v>0</v>
      </c>
      <c r="AI45" s="19">
        <v>0</v>
      </c>
      <c r="AJ45" s="19">
        <f>SUM(T45*8.5/100)</f>
        <v>2259.07475</v>
      </c>
      <c r="AK45" s="27"/>
    </row>
    <row r="46" spans="1:37" ht="11.25">
      <c r="A46" s="15"/>
      <c r="B46" s="15" t="s">
        <v>34</v>
      </c>
      <c r="C46" s="15"/>
      <c r="D46" s="15"/>
      <c r="E46" s="15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7"/>
    </row>
    <row r="47" spans="1:37" ht="11.25">
      <c r="A47" s="15"/>
      <c r="B47" s="25" t="s">
        <v>23</v>
      </c>
      <c r="C47" s="15"/>
      <c r="D47" s="15"/>
      <c r="E47" s="15"/>
      <c r="F47" s="26">
        <f>SUM(F45)</f>
        <v>0</v>
      </c>
      <c r="G47" s="26">
        <f>SUM(G45:G46)</f>
        <v>19749.08</v>
      </c>
      <c r="H47" s="26">
        <f aca="true" t="shared" si="6" ref="H47:AK47">SUM(H45:H46)</f>
        <v>1785.81</v>
      </c>
      <c r="I47" s="26">
        <f t="shared" si="6"/>
        <v>161.46</v>
      </c>
      <c r="J47" s="26">
        <f t="shared" si="6"/>
        <v>0</v>
      </c>
      <c r="K47" s="26">
        <f t="shared" si="6"/>
        <v>0</v>
      </c>
      <c r="L47" s="26">
        <f t="shared" si="6"/>
        <v>0</v>
      </c>
      <c r="M47" s="26">
        <f t="shared" si="6"/>
        <v>59.93000000000001</v>
      </c>
      <c r="N47" s="26">
        <f t="shared" si="6"/>
        <v>511.0299999999999</v>
      </c>
      <c r="O47" s="26">
        <f t="shared" si="6"/>
        <v>0</v>
      </c>
      <c r="P47" s="26">
        <f t="shared" si="6"/>
        <v>0</v>
      </c>
      <c r="Q47" s="26">
        <f t="shared" si="6"/>
        <v>0</v>
      </c>
      <c r="R47" s="26">
        <f t="shared" si="6"/>
        <v>390</v>
      </c>
      <c r="S47" s="30">
        <f t="shared" si="6"/>
        <v>3920.04</v>
      </c>
      <c r="T47" s="26">
        <f t="shared" si="6"/>
        <v>26577.350000000002</v>
      </c>
      <c r="U47" s="26">
        <f t="shared" si="6"/>
        <v>22657.31</v>
      </c>
      <c r="V47" s="26">
        <f t="shared" si="6"/>
        <v>5392.43978</v>
      </c>
      <c r="W47" s="26">
        <f t="shared" si="6"/>
        <v>1937.2000050000001</v>
      </c>
      <c r="X47" s="26">
        <f t="shared" si="6"/>
        <v>79.300585</v>
      </c>
      <c r="Y47" s="26">
        <f t="shared" si="6"/>
        <v>22267.31</v>
      </c>
      <c r="Z47" s="26">
        <f t="shared" si="6"/>
        <v>641.298528</v>
      </c>
      <c r="AA47" s="26">
        <f t="shared" si="6"/>
        <v>445.3462</v>
      </c>
      <c r="AB47" s="26">
        <f t="shared" si="6"/>
        <v>590.5487170000001</v>
      </c>
      <c r="AC47" s="26"/>
      <c r="AD47" s="26">
        <f t="shared" si="6"/>
        <v>0</v>
      </c>
      <c r="AE47" s="26">
        <f t="shared" si="6"/>
        <v>0</v>
      </c>
      <c r="AF47" s="26">
        <f t="shared" si="6"/>
        <v>6624.287025</v>
      </c>
      <c r="AG47" s="26">
        <f t="shared" si="6"/>
        <v>2461.84679</v>
      </c>
      <c r="AH47" s="26">
        <f t="shared" si="6"/>
        <v>0</v>
      </c>
      <c r="AI47" s="26">
        <f t="shared" si="6"/>
        <v>0</v>
      </c>
      <c r="AJ47" s="26">
        <f t="shared" si="6"/>
        <v>2259.07475</v>
      </c>
      <c r="AK47" s="26">
        <f t="shared" si="6"/>
        <v>0</v>
      </c>
    </row>
    <row r="48" spans="1:37" ht="11.25">
      <c r="A48" s="15"/>
      <c r="B48" s="25"/>
      <c r="C48" s="15"/>
      <c r="D48" s="15"/>
      <c r="E48" s="1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0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1:37" ht="12" thickBot="1">
      <c r="A49" s="15">
        <v>9</v>
      </c>
      <c r="B49" s="15" t="s">
        <v>75</v>
      </c>
      <c r="C49" s="15"/>
      <c r="D49" s="15"/>
      <c r="E49" s="1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9">
        <v>8616.43</v>
      </c>
      <c r="R49" s="26"/>
      <c r="S49" s="30"/>
      <c r="T49" s="19">
        <f>SUM(F49:S49)</f>
        <v>8616.43</v>
      </c>
      <c r="U49" s="19">
        <f>SUM(F49:R49)</f>
        <v>8616.43</v>
      </c>
      <c r="V49" s="19">
        <f>SUM(U49*23.8/100)</f>
        <v>2050.71034</v>
      </c>
      <c r="W49" s="19">
        <f>SUM(U49*8.55/100)</f>
        <v>736.7047650000001</v>
      </c>
      <c r="X49" s="19">
        <f>SUM(U49*0.35/100)</f>
        <v>30.157505</v>
      </c>
      <c r="Y49" s="19">
        <f>SUM(G49+H49+I49+J49+M49+N49)</f>
        <v>0</v>
      </c>
      <c r="Z49" s="19">
        <f>SUM(Y49*2.88/100)</f>
        <v>0</v>
      </c>
      <c r="AA49" s="19">
        <f>SUM(Y49*2/100)</f>
        <v>0</v>
      </c>
      <c r="AB49" s="19">
        <f>SUM(T49*10/1000)+(T49*10/1000*1/100)</f>
        <v>87.025943</v>
      </c>
      <c r="AC49" s="19"/>
      <c r="AD49" s="26"/>
      <c r="AE49" s="26"/>
      <c r="AF49" s="19">
        <f>SUM(V49+Z49+AB49+AD49)</f>
        <v>2137.736283</v>
      </c>
      <c r="AG49" s="19">
        <f>SUM(W49+X49+AA49+AE49)</f>
        <v>766.8622700000001</v>
      </c>
      <c r="AH49" s="26"/>
      <c r="AI49" s="26"/>
      <c r="AJ49" s="19">
        <f>SUM(T49*8.5/100)</f>
        <v>732.3965499999999</v>
      </c>
      <c r="AK49" s="26"/>
    </row>
    <row r="50" spans="1:37" ht="11.25">
      <c r="A50" s="34"/>
      <c r="B50" s="35"/>
      <c r="C50" s="35"/>
      <c r="D50" s="3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8"/>
    </row>
    <row r="51" spans="1:37" ht="11.25">
      <c r="A51" s="39"/>
      <c r="B51" s="40" t="s">
        <v>76</v>
      </c>
      <c r="C51" s="40"/>
      <c r="D51" s="40"/>
      <c r="E51" s="40"/>
      <c r="F51" s="41">
        <f>SUM(F16+F21+F29+F43+F34+F47)</f>
        <v>0</v>
      </c>
      <c r="G51" s="41">
        <f>SUM(G16+G21+G29+G34+G39+G43+G47+G49)</f>
        <v>141392.26</v>
      </c>
      <c r="H51" s="41">
        <f>SUM(H16+H21+H29+H34+H39+H43+H47+H49)</f>
        <v>12300.86</v>
      </c>
      <c r="I51" s="41">
        <f aca="true" t="shared" si="7" ref="H51:AJ51">SUM(I16+I21+I29+I34+I39+I43+I47+I49)</f>
        <v>1103.96</v>
      </c>
      <c r="J51" s="41">
        <f t="shared" si="7"/>
        <v>711.88</v>
      </c>
      <c r="K51" s="41">
        <f t="shared" si="7"/>
        <v>20980.96</v>
      </c>
      <c r="L51" s="41">
        <f t="shared" si="7"/>
        <v>5245.24</v>
      </c>
      <c r="M51" s="41">
        <f t="shared" si="7"/>
        <v>59.93000000000001</v>
      </c>
      <c r="N51" s="41">
        <f t="shared" si="7"/>
        <v>3789.6299999999997</v>
      </c>
      <c r="O51" s="41">
        <f t="shared" si="7"/>
        <v>0</v>
      </c>
      <c r="P51" s="41">
        <f t="shared" si="7"/>
        <v>0</v>
      </c>
      <c r="Q51" s="41">
        <f t="shared" si="7"/>
        <v>8616.43</v>
      </c>
      <c r="R51" s="41">
        <f t="shared" si="7"/>
        <v>1235.3899999999999</v>
      </c>
      <c r="S51" s="41">
        <f t="shared" si="7"/>
        <v>3920.04</v>
      </c>
      <c r="T51" s="41">
        <f>SUM(T16+T21+T29+T34+T39+T43+T47+T49)</f>
        <v>199356.58</v>
      </c>
      <c r="U51" s="41">
        <f t="shared" si="7"/>
        <v>188932.53999999998</v>
      </c>
      <c r="V51" s="41">
        <f t="shared" si="7"/>
        <v>44965.94452</v>
      </c>
      <c r="W51" s="41">
        <f t="shared" si="7"/>
        <v>16153.732170000001</v>
      </c>
      <c r="X51" s="41">
        <f t="shared" si="7"/>
        <v>661.26389</v>
      </c>
      <c r="Y51" s="41">
        <f t="shared" si="7"/>
        <v>152854.52000000002</v>
      </c>
      <c r="Z51" s="41">
        <f t="shared" si="7"/>
        <v>4402.210176</v>
      </c>
      <c r="AA51" s="41">
        <f t="shared" si="7"/>
        <v>3057.0904</v>
      </c>
      <c r="AB51" s="41">
        <f t="shared" si="7"/>
        <v>2199.2452656</v>
      </c>
      <c r="AC51" s="41">
        <f t="shared" si="7"/>
        <v>19.56</v>
      </c>
      <c r="AD51" s="41">
        <f t="shared" si="7"/>
        <v>1019.04</v>
      </c>
      <c r="AE51" s="41">
        <f t="shared" si="7"/>
        <v>509.52</v>
      </c>
      <c r="AF51" s="41">
        <f t="shared" si="7"/>
        <v>52586.439961599994</v>
      </c>
      <c r="AG51" s="41">
        <f t="shared" si="7"/>
        <v>20401.16646</v>
      </c>
      <c r="AH51" s="41">
        <f t="shared" si="7"/>
        <v>3550.68</v>
      </c>
      <c r="AI51" s="41">
        <f t="shared" si="7"/>
        <v>438</v>
      </c>
      <c r="AJ51" s="41">
        <f t="shared" si="7"/>
        <v>16945.3093</v>
      </c>
      <c r="AK51" s="42">
        <f aca="true" t="shared" si="8" ref="H51:AK51">SUM(AK16+AK21+AK29+AK34+AK43+AK47+AK49)</f>
        <v>0</v>
      </c>
    </row>
    <row r="52" spans="1:37" ht="12" thickBot="1">
      <c r="A52" s="43"/>
      <c r="B52" s="44"/>
      <c r="C52" s="44"/>
      <c r="D52" s="44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6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7"/>
    </row>
    <row r="53" spans="20:36" ht="11.25">
      <c r="T53" s="32"/>
      <c r="U53" s="19"/>
      <c r="V53" s="19"/>
      <c r="W53" s="19"/>
      <c r="X53" s="19"/>
      <c r="Z53" s="19"/>
      <c r="AA53" s="19"/>
      <c r="AF53" s="19"/>
      <c r="AG53" s="19"/>
      <c r="AJ53" s="19"/>
    </row>
  </sheetData>
  <sheetProtection/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8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Marinella Magni</cp:lastModifiedBy>
  <cp:lastPrinted>2015-05-07T14:52:53Z</cp:lastPrinted>
  <dcterms:created xsi:type="dcterms:W3CDTF">1999-01-12T11:30:02Z</dcterms:created>
  <dcterms:modified xsi:type="dcterms:W3CDTF">2015-05-07T14:58:17Z</dcterms:modified>
  <cp:category/>
  <cp:version/>
  <cp:contentType/>
  <cp:contentStatus/>
</cp:coreProperties>
</file>